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95" windowHeight="7935" activeTab="0"/>
  </bookViews>
  <sheets>
    <sheet name="Fiche d'Immo" sheetId="1" r:id="rId1"/>
  </sheets>
  <definedNames/>
  <calcPr fullCalcOnLoad="1"/>
</workbook>
</file>

<file path=xl/comments1.xml><?xml version="1.0" encoding="utf-8"?>
<comments xmlns="http://schemas.openxmlformats.org/spreadsheetml/2006/main">
  <authors>
    <author>SD</author>
  </authors>
  <commentList>
    <comment ref="D12" authorId="0">
      <text>
        <r>
          <rPr>
            <b/>
            <sz val="8"/>
            <rFont val="Tahoma"/>
            <family val="2"/>
          </rPr>
          <t>Amortissement Linéaire (tapez L) ou Amortissement Dégressif (tapez D)</t>
        </r>
        <r>
          <rPr>
            <sz val="8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8"/>
            <rFont val="Tahoma"/>
            <family val="2"/>
          </rPr>
          <t>Ne portez le montant de TVA QUE SI vous êtes assujetti à TVA, et que vous avez effectivement déduit la TVA grevant cette immobilisation sur votre déclaration de TVA (CA3/CA4)</t>
        </r>
      </text>
    </comment>
    <comment ref="D13" authorId="0">
      <text>
        <r>
          <rPr>
            <b/>
            <sz val="8"/>
            <rFont val="Tahoma"/>
            <family val="2"/>
          </rPr>
          <t>Ne porter que le nombre d'années d'Amortissement
Pour l'amortissement dégressif : 3 ans minimum
Ce tableau gère 30 ans maxi.</t>
        </r>
      </text>
    </comment>
    <comment ref="D5" authorId="0">
      <text>
        <r>
          <rPr>
            <b/>
            <sz val="8"/>
            <rFont val="Tahoma"/>
            <family val="2"/>
          </rPr>
          <t>Tapez jj/mm/aa</t>
        </r>
        <r>
          <rPr>
            <sz val="8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8"/>
            <rFont val="Tahoma"/>
            <family val="2"/>
          </rPr>
          <t>N'oubliez pas, la première et la dernière année, de réduire l'annuité d'amortissement au prorata temporis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Valeur Nette Comptable</t>
        </r>
        <r>
          <rPr>
            <sz val="8"/>
            <rFont val="Tahoma"/>
            <family val="2"/>
          </rPr>
          <t xml:space="preserve">
</t>
        </r>
      </text>
    </comment>
    <comment ref="D51" authorId="0">
      <text>
        <r>
          <rPr>
            <b/>
            <sz val="8"/>
            <rFont val="Tahoma"/>
            <family val="2"/>
          </rPr>
          <t>N'oubliez pas de réduire prorata temporis l'amortissement de la dernière année</t>
        </r>
        <r>
          <rPr>
            <sz val="8"/>
            <rFont val="Tahoma"/>
            <family val="2"/>
          </rPr>
          <t xml:space="preserve">
</t>
        </r>
      </text>
    </comment>
    <comment ref="D52" authorId="0">
      <text>
        <r>
          <rPr>
            <b/>
            <sz val="8"/>
            <rFont val="Tahoma"/>
            <family val="2"/>
          </rPr>
          <t>A compléter</t>
        </r>
        <r>
          <rPr>
            <sz val="8"/>
            <rFont val="Tahoma"/>
            <family val="2"/>
          </rPr>
          <t xml:space="preserve">
</t>
        </r>
      </text>
    </comment>
    <comment ref="D55" authorId="0">
      <text>
        <r>
          <rPr>
            <b/>
            <sz val="8"/>
            <rFont val="Tahoma"/>
            <family val="2"/>
          </rPr>
          <t>A vérifier</t>
        </r>
        <r>
          <rPr>
            <sz val="8"/>
            <rFont val="Tahoma"/>
            <family val="2"/>
          </rPr>
          <t xml:space="preserve">
</t>
        </r>
      </text>
    </comment>
    <comment ref="D56" authorId="0">
      <text>
        <r>
          <rPr>
            <b/>
            <sz val="8"/>
            <rFont val="Tahoma"/>
            <family val="2"/>
          </rPr>
          <t>A vérifier</t>
        </r>
        <r>
          <rPr>
            <sz val="8"/>
            <rFont val="Tahoma"/>
            <family val="2"/>
          </rPr>
          <t xml:space="preserve">
</t>
        </r>
      </text>
    </comment>
    <comment ref="D54" authorId="0">
      <text>
        <r>
          <rPr>
            <b/>
            <sz val="8"/>
            <rFont val="Tahoma"/>
            <family val="2"/>
          </rPr>
          <t>A vérifier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<sst xmlns="http://schemas.openxmlformats.org/spreadsheetml/2006/main" count="25" uniqueCount="25">
  <si>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FICHE D'IMMOBILISATION</t>
  </si>
  <si>
    <t>Matériel :</t>
  </si>
  <si>
    <t>Fournisseur:</t>
  </si>
  <si>
    <t>Date d'achat ou de mise en service :</t>
  </si>
  <si>
    <t>Prix TTC payé :</t>
  </si>
  <si>
    <t>TVA déduite :</t>
  </si>
  <si>
    <t>BASE AMORTISSABLE :</t>
  </si>
  <si>
    <t>Mode d'Amortissement :</t>
  </si>
  <si>
    <t>Durée d'Amortissement :</t>
  </si>
  <si>
    <t>ANNEE</t>
  </si>
  <si>
    <t>BASE</t>
  </si>
  <si>
    <t>TAUX</t>
  </si>
  <si>
    <t>CALCUL DE L'AMORTISSEMENT</t>
  </si>
  <si>
    <t>AMORT.</t>
  </si>
  <si>
    <t>V.N.C.</t>
  </si>
  <si>
    <t>CESSION, MISE AU REBUT, REINTEGRATION AU PATRIMOINE PERSONNEL :</t>
  </si>
  <si>
    <t>Date de cession :</t>
  </si>
  <si>
    <t>Valeur Nette Comptable :</t>
  </si>
  <si>
    <t>Plus-value globale :</t>
  </si>
  <si>
    <t>Dont à COURT TERME :</t>
  </si>
  <si>
    <t>Dont à LONG TERME :</t>
  </si>
  <si>
    <r>
      <t>Prix de vente</t>
    </r>
    <r>
      <rPr>
        <sz val="11"/>
        <rFont val="Arial"/>
        <family val="2"/>
      </rPr>
      <t xml:space="preserve"> ou valeur de reprise :</t>
    </r>
  </si>
  <si>
    <t>L'AGPLA ne saurait être tenue responsable de l'utilisation de ce document.</t>
  </si>
  <si>
    <t>L</t>
  </si>
  <si>
    <t>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</si>
</sst>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C]dddd\ d\ mmmm\ yyyy"/>
    <numFmt numFmtId="166" formatCode="dd/mm/yyyy;@"/>
  </numFmts>
  <fonts count="5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u val="single"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7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8" fillId="33" borderId="0" xfId="0" applyFont="1" applyFill="1" applyAlignment="1">
      <alignment horizontal="center"/>
    </xf>
    <xf numFmtId="166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4" fontId="1" fillId="0" borderId="11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4" fontId="1" fillId="0" borderId="0" xfId="0" applyNumberFormat="1" applyFont="1" applyAlignment="1">
      <alignment/>
    </xf>
    <xf numFmtId="0" fontId="11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34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2" fillId="34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D13" sqref="D13"/>
    </sheetView>
  </sheetViews>
  <sheetFormatPr defaultColWidth="11.421875" defaultRowHeight="12.75"/>
  <cols>
    <col min="1" max="1" width="11.00390625" style="1" customWidth="1"/>
    <col min="2" max="2" width="13.421875" style="1" customWidth="1"/>
    <col min="3" max="3" width="12.7109375" style="1" customWidth="1"/>
    <col min="4" max="4" width="35.7109375" style="1" customWidth="1"/>
    <col min="5" max="5" width="12.28125" style="1" customWidth="1"/>
    <col min="6" max="6" width="11.8515625" style="1" customWidth="1"/>
    <col min="7" max="7" width="11.421875" style="1" customWidth="1"/>
    <col min="8" max="8" width="11.421875" style="24" customWidth="1"/>
    <col min="9" max="9" width="4.421875" style="24" hidden="1" customWidth="1"/>
    <col min="10" max="10" width="6.140625" style="24" hidden="1" customWidth="1"/>
    <col min="11" max="16384" width="11.421875" style="1" customWidth="1"/>
  </cols>
  <sheetData>
    <row r="1" spans="1:5" ht="20.25">
      <c r="A1" s="27" t="s">
        <v>0</v>
      </c>
      <c r="B1" s="27"/>
      <c r="C1" s="27"/>
      <c r="D1" s="27"/>
      <c r="E1" s="27"/>
    </row>
    <row r="2" ht="8.25" customHeight="1"/>
    <row r="3" spans="1:5" ht="14.25">
      <c r="A3" s="28" t="s">
        <v>1</v>
      </c>
      <c r="B3" s="28"/>
      <c r="C3" s="28"/>
      <c r="D3" s="26"/>
      <c r="E3" s="26"/>
    </row>
    <row r="4" spans="1:5" ht="14.25">
      <c r="A4" s="28" t="s">
        <v>2</v>
      </c>
      <c r="B4" s="28"/>
      <c r="C4" s="28"/>
      <c r="D4" s="26"/>
      <c r="E4" s="26"/>
    </row>
    <row r="5" spans="1:4" ht="14.25">
      <c r="A5" s="28" t="s">
        <v>3</v>
      </c>
      <c r="B5" s="28"/>
      <c r="C5" s="28"/>
      <c r="D5" s="8"/>
    </row>
    <row r="6" ht="14.25"/>
    <row r="7" spans="1:4" ht="14.25">
      <c r="A7" s="28" t="s">
        <v>4</v>
      </c>
      <c r="B7" s="28"/>
      <c r="C7" s="28"/>
      <c r="D7" s="5"/>
    </row>
    <row r="8" spans="1:4" ht="14.25">
      <c r="A8" s="28" t="s">
        <v>5</v>
      </c>
      <c r="B8" s="28"/>
      <c r="C8" s="28"/>
      <c r="D8" s="5"/>
    </row>
    <row r="9" ht="7.5" customHeight="1"/>
    <row r="10" spans="1:4" ht="15">
      <c r="A10" s="30" t="s">
        <v>6</v>
      </c>
      <c r="B10" s="30"/>
      <c r="C10" s="30"/>
      <c r="D10" s="6">
        <f>IF(D7&lt;&gt;"",D7-D8,"")</f>
      </c>
    </row>
    <row r="11" ht="9.75" customHeight="1"/>
    <row r="12" spans="1:10" ht="14.25">
      <c r="A12" s="28" t="s">
        <v>7</v>
      </c>
      <c r="B12" s="28"/>
      <c r="C12" s="28"/>
      <c r="I12" s="24" t="s">
        <v>23</v>
      </c>
      <c r="J12" s="24" t="s">
        <v>24</v>
      </c>
    </row>
    <row r="13" spans="1:10" ht="14.25">
      <c r="A13" s="28" t="s">
        <v>8</v>
      </c>
      <c r="B13" s="28"/>
      <c r="C13" s="28"/>
      <c r="D13" s="3"/>
      <c r="E13" s="2">
        <f>IF(D13&lt;&gt;0,IF(D13=1,"AN","ANS"),"")</f>
      </c>
      <c r="I13" s="24">
        <f>MONTH(D5)</f>
        <v>1</v>
      </c>
      <c r="J13" s="24">
        <f>MONTH(D5)</f>
        <v>1</v>
      </c>
    </row>
    <row r="14" ht="8.25" customHeight="1">
      <c r="I14" s="24">
        <f>DAY(D5)</f>
        <v>0</v>
      </c>
    </row>
    <row r="15" spans="1:10" ht="15">
      <c r="A15" s="7" t="s">
        <v>9</v>
      </c>
      <c r="B15" s="7" t="s">
        <v>10</v>
      </c>
      <c r="C15" s="7" t="s">
        <v>11</v>
      </c>
      <c r="D15" s="7" t="s">
        <v>12</v>
      </c>
      <c r="E15" s="7" t="s">
        <v>13</v>
      </c>
      <c r="F15" s="7" t="s">
        <v>14</v>
      </c>
      <c r="I15" s="24">
        <f>(30-I14+1)+((12-I13)*30)</f>
        <v>361</v>
      </c>
      <c r="J15" s="24">
        <f>12-J13+1</f>
        <v>12</v>
      </c>
    </row>
    <row r="16" spans="1:10" ht="24.75" customHeight="1">
      <c r="A16" s="9">
        <f>IF(OR($D$5="",$D$10="",$D$12="",$D$13=""),"",IF(D13="","",YEAR(D5)))</f>
      </c>
      <c r="B16" s="10">
        <f>IF(OR($D$5="",$D$10="",$D$12="",$D$13=""),"",D10)</f>
      </c>
      <c r="C16" s="11">
        <f>IF(OR($D$5="",$D$10="",$D$12="",$D$13=""),"",IF(D13&lt;&gt;0,IF(D12="L",(1/D13),IF(D12="D",(IF(D13&lt;3,"3 ans mini",IF(D13&lt;=4,((1/D13)*1.25),IF(D13&gt;6,(1/D13)*2.25,(1/D13)*1.75)))))),""))</f>
      </c>
      <c r="D16" s="12">
        <f>IF(OR($D$5="",$D$10=0,$D$12="",$D$13=""),"",IF(B16&gt;0,FIXED(B16,0)&amp;" x "&amp;FIXED(C16*100,2)&amp;" % x "&amp;I16&amp;J16&amp;" / "&amp;I17,""))</f>
      </c>
      <c r="E16" s="10">
        <f>IF(OR($D$5="",$D$10="",$D$12="",$D$13=""),"",IF(B16&gt;0,(B16*C16*((I16)/I17)),""))</f>
      </c>
      <c r="F16" s="13">
        <f>IF(OR($D$5="",$D$10="",$D$12="",$D$13=""),"",IF(B16&lt;&gt;0,B16-E16,""))</f>
      </c>
      <c r="I16" s="24">
        <f>IF(D12="","",IF(OR(D12="l",D12="L"),I15,J15))</f>
      </c>
      <c r="J16" s="24">
        <f>IF(D12="","",IF(OR(D12="l",D12="L")," jours"," mois"))</f>
      </c>
    </row>
    <row r="17" spans="1:9" ht="14.25">
      <c r="A17" s="14">
        <f>IF(OR($D$5="",$D$10=0,$D$12="",$D$13=""),"",IF(ROUND(F16,2)&gt;0,(YEAR(D5)+1),""))</f>
      </c>
      <c r="B17" s="15">
        <f>IF(A17="","",IF(D12="L",D10,F16))</f>
      </c>
      <c r="C17" s="16">
        <f>IF(A17="","",IF(D12="L",C16,IF((F16/($D$13-1))&gt;F16*C16,(1/($D$13-1)),IF(D13&lt;=4,((1/D13)*1.25),IF(D13&gt;6,(1/D13)*2.25,(1/D13)*1.75)))))</f>
      </c>
      <c r="D17" s="17">
        <f>IF(OR($D$5="",$D$10=0,$D$12="",$D$13=""),"",IF(A17="","",IF(B17&gt;0,IF(F16&lt;(B17*C17),FIXED(B17,2)&amp;" x "&amp;FIXED(C17*100,2)&amp;" % x "&amp;I$23&amp;J$23&amp;" / "&amp;I$24,FIXED(B17,2)&amp;" x "&amp;FIXED(C17*100,2)&amp;" %"))))</f>
      </c>
      <c r="E17" s="15">
        <f>IF(A17="","",IF(B17&gt;0,IF(F16&lt;(B17*C17),F16,(B17*C17)),""))</f>
      </c>
      <c r="F17" s="18">
        <f>IF(A17="","",IF(B17&lt;&gt;0,F16-E17,""))</f>
      </c>
      <c r="I17" s="24">
        <f>IF(D12="","",IF(OR(D12="l",D12="L"),360,12))</f>
      </c>
    </row>
    <row r="18" spans="1:6" ht="14.25">
      <c r="A18" s="14">
        <f>IF(A17="","",IF(ROUND(F17,2)&gt;0,(YEAR($D$5)+2),""))</f>
      </c>
      <c r="B18" s="15">
        <f>IF(A18="","",IF($D$12="L",$D$10,IF(C16&lt;&gt;C17,B17,F17)))</f>
      </c>
      <c r="C18" s="16">
        <f>IF(A18="","",IF($D$12="L",C17,IF(C16&lt;&gt;C17,C17,IF((F17/($D$13-2))&gt;F17*C17,(1/($D$13-2)),IF($D$13&lt;=4,((1/$D$13)*1.25),IF($D$13&gt;6,(1/$D$13)*2.25,(1/$D$13)*1.75))))))</f>
      </c>
      <c r="D18" s="17">
        <f aca="true" t="shared" si="0" ref="D18:D46">IF(OR($D$5="",$D$10=0,$D$12="",$D$13=""),"",IF(A18="","",IF(B18&gt;0,IF(F17&lt;(B18*C18),FIXED(B18,2)&amp;" x "&amp;FIXED(C18*100,2)&amp;" % x "&amp;I$23&amp;J$23&amp;" / "&amp;I$24,FIXED(B18,2)&amp;" x "&amp;FIXED(C18*100,2)&amp;" %"))))</f>
      </c>
      <c r="E18" s="15">
        <f aca="true" t="shared" si="1" ref="E18:E23">IF(A18="","",IF(B18&gt;0,IF(F17&lt;(B18*C18),F17,(B18*C18)),""))</f>
      </c>
      <c r="F18" s="18">
        <f>IF(A18="","",IF(B18&lt;&gt;0,F17-E18,""))</f>
      </c>
    </row>
    <row r="19" spans="1:6" ht="14.25">
      <c r="A19" s="14">
        <f>IF(A18="","",IF(ROUND(F18,2)&gt;0,(YEAR($D$5)+3),""))</f>
      </c>
      <c r="B19" s="15">
        <f aca="true" t="shared" si="2" ref="B19:B29">IF(A19&lt;&gt;"",IF($D$12="L",$D$10,IF(B17=B18,B18,IF(C17&lt;&gt;C18,B18,F18))),"")</f>
      </c>
      <c r="C19" s="16">
        <f>IF(A19&lt;&gt;"",IF($D$12="L",C18,IF(B17=B18,C18,IF(C17&lt;&gt;C18,C18,IF((F18/($D$13-3))&gt;F18*C18,(1/($D$13-3)),IF($D$13&lt;=4,((1/$D$13)*1.25),IF($D$13&gt;6,(1/$D$13)*2.25,(1/$D$13)*1.75)))))),"")</f>
      </c>
      <c r="D19" s="17">
        <f t="shared" si="0"/>
      </c>
      <c r="E19" s="15">
        <f t="shared" si="1"/>
      </c>
      <c r="F19" s="18">
        <f aca="true" t="shared" si="3" ref="F19:F29">IF(A19&lt;&gt;"",F18-E19,"")</f>
      </c>
    </row>
    <row r="20" spans="1:10" ht="14.25">
      <c r="A20" s="14">
        <f>IF(A19="","",IF(ROUND(F19,2)&gt;0,(YEAR($D$5)+4),""))</f>
      </c>
      <c r="B20" s="15">
        <f t="shared" si="2"/>
      </c>
      <c r="C20" s="16">
        <f>IF(A20&lt;&gt;"",IF($D$12="L",C19,IF(B18=B19,C19,IF(C18&lt;&gt;C19,C19,IF((F19/($D$13-4))&gt;F19*C19,(1/($D$13-4)),IF($D$13&lt;=4,((1/$D$13)*1.25),IF($D$13&gt;6,(1/$D$13)*2.25,(1/$D$13)*1.75)))))),"")</f>
      </c>
      <c r="D20" s="17">
        <f t="shared" si="0"/>
      </c>
      <c r="E20" s="15">
        <f t="shared" si="1"/>
      </c>
      <c r="F20" s="18">
        <f t="shared" si="3"/>
      </c>
      <c r="I20" s="24">
        <f>MONTH(D5)</f>
        <v>1</v>
      </c>
      <c r="J20" s="24">
        <f>MONTH(D5)</f>
        <v>1</v>
      </c>
    </row>
    <row r="21" spans="1:9" ht="14.25">
      <c r="A21" s="14">
        <f>IF(A20="","",IF(ROUND(F20,2)&gt;0,(YEAR($D$5)+5),""))</f>
      </c>
      <c r="B21" s="15">
        <f t="shared" si="2"/>
      </c>
      <c r="C21" s="16">
        <f>IF(A21&lt;&gt;"",IF($D$12="L",C20,IF(B19=B20,C20,IF(C19&lt;&gt;C20,C20,IF((F20/($D$13-5))&gt;F20*C20,(1/($D$13-5)),IF($D$13&lt;=4,((1/$D$13)*1.25),IF($D$13&gt;6,(1/$D$13)*2.25,(1/$D$13)*1.75)))))),"")</f>
      </c>
      <c r="D21" s="17">
        <f t="shared" si="0"/>
      </c>
      <c r="E21" s="15">
        <f t="shared" si="1"/>
      </c>
      <c r="F21" s="18">
        <f t="shared" si="3"/>
      </c>
      <c r="I21" s="24">
        <f>DAY(D5)</f>
        <v>0</v>
      </c>
    </row>
    <row r="22" spans="1:10" ht="14.25">
      <c r="A22" s="14">
        <f>IF(A21="","",IF(ROUND(F21,2)&gt;0,(YEAR($D$5)+6),""))</f>
      </c>
      <c r="B22" s="15">
        <f t="shared" si="2"/>
      </c>
      <c r="C22" s="16">
        <f>IF(A22&lt;&gt;"",IF($D$12="L",C21,IF(B20=B21,C21,IF(C20&lt;&gt;C21,C21,IF((F21/($D$13-6))&gt;F21*C21,(1/($D$13-6)),IF($D$13&lt;=4,((1/$D$13)*1.25),IF($D$13&gt;6,(1/$D$13)*2.25,(1/$D$13)*1.75)))))),"")</f>
      </c>
      <c r="D22" s="17">
        <f t="shared" si="0"/>
      </c>
      <c r="E22" s="15">
        <f t="shared" si="1"/>
      </c>
      <c r="F22" s="18">
        <f t="shared" si="3"/>
      </c>
      <c r="I22" s="24">
        <f>(I21-1)+((I20-1)*30)</f>
        <v>-1</v>
      </c>
      <c r="J22" s="24">
        <f>12-J20+1</f>
        <v>12</v>
      </c>
    </row>
    <row r="23" spans="1:10" ht="14.25">
      <c r="A23" s="14">
        <f>IF(A22="","",IF(ROUND(F22,2)&gt;0,(YEAR($D$5)+7),""))</f>
      </c>
      <c r="B23" s="15">
        <f t="shared" si="2"/>
      </c>
      <c r="C23" s="16">
        <f>IF(A23&lt;&gt;"",IF($D$12="L",C22,IF(B21=B22,C22,IF(C21&lt;&gt;C22,C22,IF((F22/($D$13-7))&gt;F22*C22,(1/($D$13-7)),IF($D$13&lt;=4,((1/$D$13)*1.25),IF($D$13&gt;6,(1/$D$13)*2.25,(1/$D$13)*1.75)))))),"")</f>
      </c>
      <c r="D23" s="17">
        <f t="shared" si="0"/>
      </c>
      <c r="E23" s="15">
        <f t="shared" si="1"/>
      </c>
      <c r="F23" s="18">
        <f t="shared" si="3"/>
      </c>
      <c r="I23" s="24">
        <f>IF(D12="","",IF(OR(D12="l",D12="L"),I22,J22))</f>
      </c>
      <c r="J23" s="24">
        <f>IF(D12="","",IF(OR(D12="l",D12="L")," jours"," mois"))</f>
      </c>
    </row>
    <row r="24" spans="1:9" ht="14.25">
      <c r="A24" s="14">
        <f>IF(A23="","",IF(ROUND(F23,2)&gt;0,(YEAR($D$5)+8),""))</f>
      </c>
      <c r="B24" s="15">
        <f t="shared" si="2"/>
      </c>
      <c r="C24" s="16">
        <f>IF(A24&lt;&gt;"",IF($D$12="L",C23,IF(B22=B23,C23,IF(C22&lt;&gt;C23,C23,IF((F23/($D$13-8))&gt;F23*C23,(1/($D$13-8)),IF($D$13&lt;=4,((1/$D$13)*1.25),IF($D$13&gt;6,(1/$D$13)*2.25,(1/$D$13)*1.75)))))),"")</f>
      </c>
      <c r="D24" s="17">
        <f t="shared" si="0"/>
      </c>
      <c r="E24" s="15">
        <f>IF(A24="","",IF(B24&gt;0,IF(F23&lt;(B24*C24),F23,(B24*C24)),""))</f>
      </c>
      <c r="F24" s="18">
        <f t="shared" si="3"/>
      </c>
      <c r="I24" s="24">
        <f>IF(D12="","",IF(OR(D12="l",D12="L"),360,12))</f>
      </c>
    </row>
    <row r="25" spans="1:6" ht="14.25">
      <c r="A25" s="14">
        <f>IF(A24="","",IF(ROUND(F24,2)&gt;0,(YEAR($D$5)+9),""))</f>
      </c>
      <c r="B25" s="15">
        <f t="shared" si="2"/>
      </c>
      <c r="C25" s="16">
        <f>IF(A25&lt;&gt;"",IF($D$12="L",C24,IF(B23=B24,C24,IF(C23&lt;&gt;C24,C24,IF((F24/($D$13-9))&gt;F24*C24,(1/($D$13-9)),IF($D$13&lt;=4,((1/$D$13)*1.25),IF($D$13&gt;6,(1/$D$13)*2.25,(1/$D$13)*1.75)))))),"")</f>
      </c>
      <c r="D25" s="17">
        <f t="shared" si="0"/>
      </c>
      <c r="E25" s="15">
        <f>IF(A25="","",IF(B25&gt;0,IF(F24&lt;(B25*C25),F24,(B25*C25)),""))</f>
      </c>
      <c r="F25" s="18">
        <f t="shared" si="3"/>
      </c>
    </row>
    <row r="26" spans="1:6" ht="14.25">
      <c r="A26" s="14">
        <f>IF(A25="","",IF(ROUND(F25,2)&gt;0,(YEAR($D$5)+10),""))</f>
      </c>
      <c r="B26" s="15">
        <f t="shared" si="2"/>
      </c>
      <c r="C26" s="16">
        <f>IF(A26&lt;&gt;"",IF($D$12="L",C25,IF(B24=B25,C25,IF(C24&lt;&gt;C25,C25,IF((F25/($D$13-10))&gt;F25*C25,(1/($D$13-10)),IF($D$13&lt;=4,((1/$D$13)*1.25),IF($D$13&gt;6,(1/$D$13)*2.25,(1/$D$13)*1.75)))))),"")</f>
      </c>
      <c r="D26" s="17">
        <f t="shared" si="0"/>
      </c>
      <c r="E26" s="15">
        <f>IF(A26="","",IF(B26&gt;0,IF(F25&lt;(B26*C26),F25,(B26*C26)),""))</f>
      </c>
      <c r="F26" s="18">
        <f t="shared" si="3"/>
      </c>
    </row>
    <row r="27" spans="1:6" ht="14.25">
      <c r="A27" s="14">
        <f>IF(A26="","",IF(ROUND(F26,2)&gt;0,(YEAR($D$5)+11),""))</f>
      </c>
      <c r="B27" s="15">
        <f t="shared" si="2"/>
      </c>
      <c r="C27" s="16">
        <f>IF(A27&lt;&gt;"",IF($D$12="L",C26,IF(B25=B26,C26,IF(C25&lt;&gt;C26,C26,IF((F26/($D$13-11))&gt;F26*C26,(1/($D$13-11)),IF($D$13&lt;=4,((1/$D$13)*1.25),IF($D$13&gt;6,(1/$D$13)*2.25,(1/$D$13)*1.75)))))),"")</f>
      </c>
      <c r="D27" s="17">
        <f t="shared" si="0"/>
      </c>
      <c r="E27" s="15">
        <f>IF(A27="","",IF(B27&gt;0,IF(F26&lt;(B27*C27),F26,(B27*C27)),""))</f>
      </c>
      <c r="F27" s="18">
        <f t="shared" si="3"/>
      </c>
    </row>
    <row r="28" spans="1:6" ht="14.25">
      <c r="A28" s="14">
        <f>IF(A27="","",IF(ROUND(F27,2)&gt;0,(YEAR($D$5)+12),""))</f>
      </c>
      <c r="B28" s="15">
        <f t="shared" si="2"/>
      </c>
      <c r="C28" s="16">
        <f>IF(A28&lt;&gt;"",IF($D$12="L",C27,IF(B26=B27,C27,IF(C26&lt;&gt;C27,C27,IF((F27/($D$13-12))&gt;F27*C27,(1/($D$13-12)),IF($D$13&lt;=4,((1/$D$13)*1.25),IF($D$13&gt;6,(1/$D$13)*2.25,(1/$D$13)*1.75)))))),"")</f>
      </c>
      <c r="D28" s="17">
        <f t="shared" si="0"/>
      </c>
      <c r="E28" s="15">
        <f aca="true" t="shared" si="4" ref="E28:E45">IF(A28="","",IF(B28&gt;0,IF(F27&lt;(B28*C28),F27,(B28*C28)),""))</f>
      </c>
      <c r="F28" s="18">
        <f t="shared" si="3"/>
      </c>
    </row>
    <row r="29" spans="1:6" ht="14.25">
      <c r="A29" s="14">
        <f>IF(A28="","",IF(ROUND(F28,2)&gt;0,(YEAR($D$5)+13),""))</f>
      </c>
      <c r="B29" s="15">
        <f t="shared" si="2"/>
      </c>
      <c r="C29" s="16">
        <f>IF(A29&lt;&gt;"",IF($D$12="L",C28,IF(B27=B28,C28,IF(C27&lt;&gt;C28,C28,IF((F28/($D$13-13))&gt;F28*C28,(1/($D$13-13)),IF($D$13&lt;=4,((1/$D$13)*1.25),IF($D$13&gt;6,(1/$D$13)*2.25,(1/$D$13)*1.75)))))),"")</f>
      </c>
      <c r="D29" s="17">
        <f t="shared" si="0"/>
      </c>
      <c r="E29" s="15">
        <f t="shared" si="4"/>
      </c>
      <c r="F29" s="18">
        <f t="shared" si="3"/>
      </c>
    </row>
    <row r="30" spans="1:6" ht="14.25">
      <c r="A30" s="14">
        <f>IF(A29="","",IF(ROUND(F29,2)&gt;0,(YEAR($D$5)+14),""))</f>
      </c>
      <c r="B30" s="15">
        <f aca="true" t="shared" si="5" ref="B30:B45">IF(A30&lt;&gt;"",IF($D$12="L",$D$10,IF(B28=B29,B29,IF(C28&lt;&gt;C29,B29,F29))),"")</f>
      </c>
      <c r="C30" s="16">
        <f>IF(A30&lt;&gt;"",IF($D$12="L",C29,IF(B28=B29,C29,IF(C28&lt;&gt;C29,C29,IF((F29/($D$13-14))&gt;F29*C29,(1/($D$13-14)),IF($D$13&lt;=4,((1/$D$13)*1.25),IF($D$13&gt;6,(1/$D$13)*2.25,(1/$D$13)*1.75)))))),"")</f>
      </c>
      <c r="D30" s="17">
        <f t="shared" si="0"/>
      </c>
      <c r="E30" s="15">
        <f t="shared" si="4"/>
      </c>
      <c r="F30" s="18">
        <f aca="true" t="shared" si="6" ref="F30:F45">IF(A30&lt;&gt;"",F29-E30,"")</f>
      </c>
    </row>
    <row r="31" spans="1:6" ht="14.25">
      <c r="A31" s="14">
        <f>IF(A30="","",IF(ROUND(F30,2)&gt;0,(YEAR($D$5)+15),""))</f>
      </c>
      <c r="B31" s="15">
        <f t="shared" si="5"/>
      </c>
      <c r="C31" s="16">
        <f>IF(A31&lt;&gt;"",IF($D$12="L",C30,IF(B29=B30,C30,IF(C29&lt;&gt;C30,C30,IF((F30/($D$13-15))&gt;F30*C30,(1/($D$13-15)),IF($D$13&lt;=4,((1/$D$13)*1.25),IF($D$13&gt;6,(1/$D$13)*2.25,(1/$D$13)*1.75)))))),"")</f>
      </c>
      <c r="D31" s="17">
        <f t="shared" si="0"/>
      </c>
      <c r="E31" s="15">
        <f t="shared" si="4"/>
      </c>
      <c r="F31" s="18">
        <f t="shared" si="6"/>
      </c>
    </row>
    <row r="32" spans="1:6" ht="14.25">
      <c r="A32" s="14">
        <f>IF(A31="","",IF(ROUND(F31,2)&gt;0,(YEAR($D$5)+16),""))</f>
      </c>
      <c r="B32" s="15">
        <f t="shared" si="5"/>
      </c>
      <c r="C32" s="16">
        <f>IF(A32&lt;&gt;"",IF($D$12="L",C31,IF(B30=B31,C31,IF(C30&lt;&gt;C31,C31,IF((F31/($D$13-16))&gt;F31*C31,(1/($D$13-16)),IF($D$13&lt;=4,((1/$D$13)*1.25),IF($D$13&gt;6,(1/$D$13)*2.25,(1/$D$13)*1.75)))))),"")</f>
      </c>
      <c r="D32" s="17">
        <f t="shared" si="0"/>
      </c>
      <c r="E32" s="15">
        <f t="shared" si="4"/>
      </c>
      <c r="F32" s="18">
        <f t="shared" si="6"/>
      </c>
    </row>
    <row r="33" spans="1:6" ht="14.25">
      <c r="A33" s="14">
        <f>IF(A32="","",IF(ROUND(F32,2)&gt;0,(YEAR($D$5)+17),""))</f>
      </c>
      <c r="B33" s="15">
        <f t="shared" si="5"/>
      </c>
      <c r="C33" s="16">
        <f>IF(A33&lt;&gt;"",IF($D$12="L",C32,IF(B31=B32,C32,IF(C31&lt;&gt;C32,C32,IF((F32/($D$13-17))&gt;F32*C32,(1/($D$13-17)),IF($D$13&lt;=4,((1/$D$13)*1.25),IF($D$13&gt;6,(1/$D$13)*2.25,(1/$D$13)*1.75)))))),"")</f>
      </c>
      <c r="D33" s="17">
        <f t="shared" si="0"/>
      </c>
      <c r="E33" s="15">
        <f t="shared" si="4"/>
      </c>
      <c r="F33" s="18">
        <f t="shared" si="6"/>
      </c>
    </row>
    <row r="34" spans="1:6" ht="14.25">
      <c r="A34" s="14">
        <f>IF(A33="","",IF(ROUND(F33,2)&gt;0,(YEAR($D$5)+18),""))</f>
      </c>
      <c r="B34" s="15">
        <f t="shared" si="5"/>
      </c>
      <c r="C34" s="16">
        <f>IF(A34&lt;&gt;"",IF($D$12="L",C33,IF(B32=B33,C33,IF(C32&lt;&gt;C33,C33,IF((F33/($D$13-18))&gt;F33*C33,(1/($D$13-18)),IF($D$13&lt;=4,((1/$D$13)*1.25),IF($D$13&gt;6,(1/$D$13)*2.25,(1/$D$13)*1.75)))))),"")</f>
      </c>
      <c r="D34" s="17">
        <f t="shared" si="0"/>
      </c>
      <c r="E34" s="15">
        <f t="shared" si="4"/>
      </c>
      <c r="F34" s="18">
        <f t="shared" si="6"/>
      </c>
    </row>
    <row r="35" spans="1:6" ht="14.25">
      <c r="A35" s="14">
        <f>IF(A34="","",IF(ROUND(F34,2)&gt;0,(YEAR($D$5)+19),""))</f>
      </c>
      <c r="B35" s="15">
        <f t="shared" si="5"/>
      </c>
      <c r="C35" s="16">
        <f>IF(A35&lt;&gt;"",IF($D$12="L",C34,IF(B33=B34,C34,IF(C33&lt;&gt;C34,C34,IF((F34/($D$13-19))&gt;F34*C34,(1/($D$13-19)),IF($D$13&lt;=4,((1/$D$13)*1.25),IF($D$13&gt;6,(1/$D$13)*2.25,(1/$D$13)*1.75)))))),"")</f>
      </c>
      <c r="D35" s="17">
        <f t="shared" si="0"/>
      </c>
      <c r="E35" s="15">
        <f t="shared" si="4"/>
      </c>
      <c r="F35" s="18">
        <f t="shared" si="6"/>
      </c>
    </row>
    <row r="36" spans="1:6" ht="14.25">
      <c r="A36" s="14">
        <f>IF(A35="","",IF(ROUND(F35,2)&gt;0,(YEAR($D$5)+20),""))</f>
      </c>
      <c r="B36" s="15">
        <f t="shared" si="5"/>
      </c>
      <c r="C36" s="16">
        <f>IF(A36&lt;&gt;"",IF($D$12="L",C35,IF(B34=B35,C35,IF(C34&lt;&gt;C35,C35,IF((F35/($D$13-20))&gt;F35*C35,(1/($D$13-20)),IF($D$13&lt;=4,((1/$D$13)*1.25),IF($D$13&gt;6,(1/$D$13)*2.25,(1/$D$13)*1.75)))))),"")</f>
      </c>
      <c r="D36" s="17">
        <f t="shared" si="0"/>
      </c>
      <c r="E36" s="15">
        <f t="shared" si="4"/>
      </c>
      <c r="F36" s="18">
        <f t="shared" si="6"/>
      </c>
    </row>
    <row r="37" spans="1:6" ht="14.25">
      <c r="A37" s="14">
        <f>IF(A36="","",IF(ROUND(F36,2)&gt;0,(YEAR($D$5)+21),""))</f>
      </c>
      <c r="B37" s="15">
        <f t="shared" si="5"/>
      </c>
      <c r="C37" s="16">
        <f>IF(A37&lt;&gt;"",IF($D$12="L",C36,IF(B35=B36,C36,IF(C35&lt;&gt;C36,C36,IF((F36/($D$13-21))&gt;F36*C36,(1/($D$13-21)),IF($D$13&lt;=4,((1/$D$13)*1.25),IF($D$13&gt;6,(1/$D$13)*2.25,(1/$D$13)*1.75)))))),"")</f>
      </c>
      <c r="D37" s="17">
        <f t="shared" si="0"/>
      </c>
      <c r="E37" s="15">
        <f t="shared" si="4"/>
      </c>
      <c r="F37" s="18">
        <f t="shared" si="6"/>
      </c>
    </row>
    <row r="38" spans="1:6" ht="14.25">
      <c r="A38" s="14">
        <f>IF(A37="","",IF(ROUND(F37,2)&gt;0,(YEAR($D$5)+22),""))</f>
      </c>
      <c r="B38" s="15">
        <f t="shared" si="5"/>
      </c>
      <c r="C38" s="16">
        <f>IF(A38&lt;&gt;"",IF($D$12="L",C37,IF(B36=B37,C37,IF(C36&lt;&gt;C37,C37,IF((F37/($D$13-22))&gt;F37*C37,(1/($D$13-22)),IF($D$13&lt;=4,((1/$D$13)*1.25),IF($D$13&gt;6,(1/$D$13)*2.25,(1/$D$13)*1.75)))))),"")</f>
      </c>
      <c r="D38" s="17">
        <f t="shared" si="0"/>
      </c>
      <c r="E38" s="15">
        <f t="shared" si="4"/>
      </c>
      <c r="F38" s="18">
        <f t="shared" si="6"/>
      </c>
    </row>
    <row r="39" spans="1:6" ht="14.25">
      <c r="A39" s="14">
        <f>IF(A38="","",IF(ROUND(F38,2)&gt;0,(YEAR($D$5)+23),""))</f>
      </c>
      <c r="B39" s="15">
        <f t="shared" si="5"/>
      </c>
      <c r="C39" s="16">
        <f>IF(A39&lt;&gt;"",IF($D$12="L",C38,IF(B37=B38,C38,IF(C37&lt;&gt;C38,C38,IF((F38/($D$13-23))&gt;F38*C38,(1/($D$13-23)),IF($D$13&lt;=4,((1/$D$13)*1.25),IF($D$13&gt;6,(1/$D$13)*2.25,(1/$D$13)*1.75)))))),"")</f>
      </c>
      <c r="D39" s="17">
        <f t="shared" si="0"/>
      </c>
      <c r="E39" s="15">
        <f t="shared" si="4"/>
      </c>
      <c r="F39" s="18">
        <f t="shared" si="6"/>
      </c>
    </row>
    <row r="40" spans="1:6" ht="14.25">
      <c r="A40" s="14">
        <f>IF(A39="","",IF(ROUND(F39,2)&gt;0,(YEAR($D$5)+24),""))</f>
      </c>
      <c r="B40" s="15">
        <f t="shared" si="5"/>
      </c>
      <c r="C40" s="16">
        <f>IF(A40&lt;&gt;"",IF($D$12="L",C39,IF(B38=B39,C39,IF(C38&lt;&gt;C39,C39,IF((F39/($D$13-24))&gt;F39*C39,(1/($D$13-24)),IF($D$13&lt;=4,((1/$D$13)*1.25),IF($D$13&gt;6,(1/$D$13)*2.25,(1/$D$13)*1.75)))))),"")</f>
      </c>
      <c r="D40" s="17">
        <f t="shared" si="0"/>
      </c>
      <c r="E40" s="15">
        <f t="shared" si="4"/>
      </c>
      <c r="F40" s="18">
        <f t="shared" si="6"/>
      </c>
    </row>
    <row r="41" spans="1:6" ht="14.25">
      <c r="A41" s="14">
        <f>IF(A40="","",IF(ROUND(F40,2)&gt;0,(YEAR($D$5)+25),""))</f>
      </c>
      <c r="B41" s="15">
        <f t="shared" si="5"/>
      </c>
      <c r="C41" s="16">
        <f>IF(A41&lt;&gt;"",IF($D$12="L",C40,IF(B39=B40,C40,IF(C39&lt;&gt;C40,C40,IF((F40/($D$13-25))&gt;F40*C40,(1/($D$13-25)),IF($D$13&lt;=4,((1/$D$13)*1.25),IF($D$13&gt;6,(1/$D$13)*2.25,(1/$D$13)*1.75)))))),"")</f>
      </c>
      <c r="D41" s="17">
        <f t="shared" si="0"/>
      </c>
      <c r="E41" s="15">
        <f t="shared" si="4"/>
      </c>
      <c r="F41" s="18">
        <f t="shared" si="6"/>
      </c>
    </row>
    <row r="42" spans="1:6" ht="14.25">
      <c r="A42" s="14">
        <f>IF(A41="","",IF(ROUND(F41,2)&gt;0,(YEAR($D$5)+26),""))</f>
      </c>
      <c r="B42" s="15">
        <f t="shared" si="5"/>
      </c>
      <c r="C42" s="16">
        <f>IF(A42&lt;&gt;"",IF($D$12="L",C41,IF(B40=B41,C41,IF(C40&lt;&gt;C41,C41,IF((F41/($D$13-26))&gt;F41*C41,(1/($D$13-26)),IF($D$13&lt;=4,((1/$D$13)*1.25),IF($D$13&gt;6,(1/$D$13)*2.25,(1/$D$13)*1.75)))))),"")</f>
      </c>
      <c r="D42" s="17">
        <f t="shared" si="0"/>
      </c>
      <c r="E42" s="15">
        <f t="shared" si="4"/>
      </c>
      <c r="F42" s="18">
        <f t="shared" si="6"/>
      </c>
    </row>
    <row r="43" spans="1:6" ht="14.25">
      <c r="A43" s="14">
        <f>IF(A42="","",IF(ROUND(F42,2)&gt;0,(YEAR($D$5)+27),""))</f>
      </c>
      <c r="B43" s="15">
        <f t="shared" si="5"/>
      </c>
      <c r="C43" s="16">
        <f>IF(A43&lt;&gt;"",IF($D$12="L",C42,IF(B41=B42,C42,IF(C41&lt;&gt;C42,C42,IF((F42/($D$13-27))&gt;F42*C42,(1/($D$13-27)),IF($D$13&lt;=4,((1/$D$13)*1.25),IF($D$13&gt;6,(1/$D$13)*2.25,(1/$D$13)*1.75)))))),"")</f>
      </c>
      <c r="D43" s="17">
        <f t="shared" si="0"/>
      </c>
      <c r="E43" s="15">
        <f t="shared" si="4"/>
      </c>
      <c r="F43" s="18">
        <f t="shared" si="6"/>
      </c>
    </row>
    <row r="44" spans="1:6" ht="14.25">
      <c r="A44" s="14">
        <f>IF(A43="","",IF(ROUND(F43,2)&gt;0,(YEAR($D$5)+28),""))</f>
      </c>
      <c r="B44" s="15">
        <f t="shared" si="5"/>
      </c>
      <c r="C44" s="16">
        <f>IF(A44&lt;&gt;"",IF($D$12="L",C43,IF(B42=B43,C43,IF(C42&lt;&gt;C43,C43,IF((F43/($D$13-28))&gt;F43*C43,(1/($D$13-28)),IF($D$13&lt;=4,((1/$D$13)*1.25),IF($D$13&gt;6,(1/$D$13)*2.25,(1/$D$13)*1.75)))))),"")</f>
      </c>
      <c r="D44" s="17">
        <f t="shared" si="0"/>
      </c>
      <c r="E44" s="15">
        <f t="shared" si="4"/>
      </c>
      <c r="F44" s="18">
        <f t="shared" si="6"/>
      </c>
    </row>
    <row r="45" spans="1:6" ht="14.25">
      <c r="A45" s="14">
        <f>IF(A44="","",IF(ROUND(F44,2)&gt;0,(YEAR($D$5)+29),""))</f>
      </c>
      <c r="B45" s="15">
        <f t="shared" si="5"/>
      </c>
      <c r="C45" s="16">
        <f>IF(A45&lt;&gt;"",IF($D$12="L",C44,IF(B43=B44,C44,IF(C43&lt;&gt;C44,C44,IF((F44/($D$13-29))&gt;F44*C44,(1/($D$13-29)),IF($D$13&lt;=4,((1/$D$13)*1.25),IF($D$13&gt;6,(1/$D$13)*2.25,(1/$D$13)*1.75)))))),"")</f>
      </c>
      <c r="D45" s="17">
        <f t="shared" si="0"/>
      </c>
      <c r="E45" s="15">
        <f t="shared" si="4"/>
      </c>
      <c r="F45" s="18">
        <f t="shared" si="6"/>
      </c>
    </row>
    <row r="46" spans="1:6" ht="14.25">
      <c r="A46" s="14">
        <f>IF(A45="","",IF(ROUND(F45,2)&gt;0,(YEAR($D$5)+30),""))</f>
      </c>
      <c r="B46" s="15">
        <f>IF(A46&lt;&gt;"",IF($D$12="L",$D$10,IF(B44=B45,B45,IF(C44&lt;&gt;C45,B45,F45))),"")</f>
      </c>
      <c r="C46" s="16">
        <f>IF(A46&lt;&gt;"",IF($D$12="L",C45,IF(B44=B45,C45,IF(C44&lt;&gt;C45,C45,IF((F45/($D$13-30))&gt;F45*C45,(1/($D$13-30)),IF($D$13&lt;=4,((1/$D$13)*1.25),IF($D$13&gt;6,(1/$D$13)*2.25,(1/$D$13)*1.75)))))),"")</f>
      </c>
      <c r="D46" s="17">
        <f t="shared" si="0"/>
      </c>
      <c r="E46" s="15">
        <f>IF(A46="","",IF(B46&gt;0,IF(F45&lt;(B46*C46),F45,(B46*C46)),""))</f>
      </c>
      <c r="F46" s="18">
        <f>IF(A46&lt;&gt;"",F45-E46,"")</f>
      </c>
    </row>
    <row r="47" spans="1:6" ht="6.75" customHeight="1">
      <c r="A47" s="19"/>
      <c r="B47" s="20"/>
      <c r="C47" s="20"/>
      <c r="D47" s="20"/>
      <c r="E47" s="20"/>
      <c r="F47" s="21"/>
    </row>
    <row r="48" ht="9.75" customHeight="1"/>
    <row r="49" spans="1:6" ht="15">
      <c r="A49" s="29" t="s">
        <v>15</v>
      </c>
      <c r="B49" s="29"/>
      <c r="C49" s="29"/>
      <c r="D49" s="29"/>
      <c r="E49" s="29"/>
      <c r="F49" s="29"/>
    </row>
    <row r="50" ht="5.25" customHeight="1"/>
    <row r="51" spans="1:4" ht="14.25">
      <c r="A51" s="28" t="s">
        <v>16</v>
      </c>
      <c r="B51" s="28"/>
      <c r="C51" s="28"/>
      <c r="D51" s="22"/>
    </row>
    <row r="52" spans="1:4" ht="14.25">
      <c r="A52" s="28" t="s">
        <v>17</v>
      </c>
      <c r="B52" s="28"/>
      <c r="C52" s="28"/>
      <c r="D52" s="4"/>
    </row>
    <row r="53" spans="1:4" ht="15">
      <c r="A53" s="32" t="s">
        <v>21</v>
      </c>
      <c r="B53" s="28"/>
      <c r="C53" s="28"/>
      <c r="D53" s="4"/>
    </row>
    <row r="54" spans="1:4" ht="15">
      <c r="A54" s="33" t="s">
        <v>18</v>
      </c>
      <c r="B54" s="33"/>
      <c r="C54" s="33"/>
      <c r="D54" s="4">
        <f>IF(D53="","",D53-D52)</f>
      </c>
    </row>
    <row r="55" spans="1:4" ht="14.25">
      <c r="A55" s="28" t="s">
        <v>19</v>
      </c>
      <c r="B55" s="28"/>
      <c r="C55" s="28"/>
      <c r="D55" s="4">
        <f>IF(D53="","",IF((D10-D52)&gt;D54,D54,(D10-D52)))</f>
      </c>
    </row>
    <row r="56" spans="1:4" ht="14.25">
      <c r="A56" s="28" t="s">
        <v>20</v>
      </c>
      <c r="B56" s="28"/>
      <c r="C56" s="28"/>
      <c r="D56" s="4">
        <f>IF(D54="","",IF((D10-D52)&lt;D54,D54-(D10-D52),""))</f>
      </c>
    </row>
    <row r="57" ht="17.25" customHeight="1"/>
    <row r="58" spans="1:10" s="23" customFormat="1" ht="9.75">
      <c r="A58" s="31" t="s">
        <v>22</v>
      </c>
      <c r="B58" s="31"/>
      <c r="C58" s="31"/>
      <c r="D58" s="31"/>
      <c r="E58" s="31"/>
      <c r="F58" s="31"/>
      <c r="H58" s="25"/>
      <c r="I58" s="25"/>
      <c r="J58" s="25"/>
    </row>
  </sheetData>
  <sheetProtection/>
  <mergeCells count="19">
    <mergeCell ref="A58:F58"/>
    <mergeCell ref="A56:C56"/>
    <mergeCell ref="A52:C52"/>
    <mergeCell ref="A53:C53"/>
    <mergeCell ref="A54:C54"/>
    <mergeCell ref="A55:C55"/>
    <mergeCell ref="A12:C12"/>
    <mergeCell ref="A13:C13"/>
    <mergeCell ref="A49:F49"/>
    <mergeCell ref="A51:C51"/>
    <mergeCell ref="A7:C7"/>
    <mergeCell ref="A8:C8"/>
    <mergeCell ref="A10:C10"/>
    <mergeCell ref="D3:E3"/>
    <mergeCell ref="D4:E4"/>
    <mergeCell ref="A1:E1"/>
    <mergeCell ref="A3:C3"/>
    <mergeCell ref="A4:C4"/>
    <mergeCell ref="A5:C5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Stephane DARDENTE</cp:lastModifiedBy>
  <cp:lastPrinted>2009-02-16T13:22:18Z</cp:lastPrinted>
  <dcterms:created xsi:type="dcterms:W3CDTF">2004-01-29T15:14:18Z</dcterms:created>
  <dcterms:modified xsi:type="dcterms:W3CDTF">2015-05-16T09:32:02Z</dcterms:modified>
  <cp:category/>
  <cp:version/>
  <cp:contentType/>
  <cp:contentStatus/>
</cp:coreProperties>
</file>